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 codeName="ThisWorkbook" filterPrivacy="1"/>
  <bookViews>
    <workbookView xWindow="6030" yWindow="1230" windowWidth="21600" windowHeight="11280" activeTab="0"/>
  </bookViews>
  <sheets>
    <sheet name="Emissions Inventory Table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<sst xmlns="http://schemas.openxmlformats.org/spreadsheetml/2006/main" count="83" uniqueCount="63">
  <si>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>Total</t>
  </si>
  <si>
    <t>Reference</t>
  </si>
  <si>
    <t>mT of CO2e</t>
  </si>
  <si>
    <t>Per 1000 Square Feet</t>
  </si>
  <si>
    <t>Per Full-Time Enrollment</t>
  </si>
  <si>
    <t>Scope 3 Emissions</t>
  </si>
  <si>
    <t>Scope 2 Emissions</t>
  </si>
  <si>
    <t>Net 2017-2018 Emissions</t>
  </si>
  <si>
    <t>Scope 1 Emissions</t>
  </si>
  <si>
    <t>Total Scope 3 Emissions</t>
  </si>
  <si>
    <t>Solid Waste</t>
  </si>
  <si>
    <t>Air Travel</t>
  </si>
  <si>
    <t>Commuting</t>
  </si>
  <si>
    <t>Purchased Electricity</t>
  </si>
  <si>
    <t>Mobile Combustion</t>
  </si>
  <si>
    <t>Total Scope 2 Emissions</t>
  </si>
  <si>
    <t>Stationary Combustion</t>
  </si>
  <si>
    <t>Purchased Steam</t>
  </si>
  <si>
    <t>Purchased Cooling</t>
  </si>
  <si>
    <t>Purchased Heating</t>
  </si>
  <si>
    <t>Total Enrollment</t>
  </si>
  <si>
    <t>Total Emissions</t>
  </si>
  <si>
    <t>Total Area</t>
  </si>
  <si>
    <t>Total Scope 1 Emissions</t>
  </si>
  <si>
    <t>FTE</t>
  </si>
  <si>
    <t>sq.ft</t>
  </si>
  <si>
    <t>therm to MTCO2e</t>
  </si>
  <si>
    <t>Electricity Purchased (kWh)</t>
  </si>
  <si>
    <t>Gas Consumption (Therms)</t>
  </si>
  <si>
    <t>Factors</t>
  </si>
  <si>
    <t>Fiscal Year</t>
  </si>
  <si>
    <t>Water Consumption (Gallons)</t>
  </si>
  <si>
    <t>Total Enrollment (FTE)</t>
  </si>
  <si>
    <t>Total Area (GSF)</t>
  </si>
  <si>
    <t>Total Employees</t>
  </si>
  <si>
    <t>Faculty FT</t>
  </si>
  <si>
    <t>Faculty PT</t>
  </si>
  <si>
    <t>Staff FT</t>
  </si>
  <si>
    <t>Staff PT</t>
  </si>
  <si>
    <t>Students FT</t>
  </si>
  <si>
    <t>Students PT</t>
  </si>
  <si>
    <t>Students CE</t>
  </si>
  <si>
    <t>Faculty CE</t>
  </si>
  <si>
    <t>Distance per Trip</t>
  </si>
  <si>
    <t>Fuel Economy (mpg) (1)</t>
  </si>
  <si>
    <t>kWh to MTCO2e (2)</t>
  </si>
  <si>
    <t>(2) kWh from MidAmerican for ComEd</t>
  </si>
  <si>
    <t>(1) From 2019 EPA Report</t>
  </si>
  <si>
    <t>Miles to MTCO2e</t>
  </si>
  <si>
    <t>Scope 1 %</t>
  </si>
  <si>
    <t>Scope 2 %</t>
  </si>
  <si>
    <t>Scope 3 %</t>
  </si>
  <si>
    <t>Wastewater</t>
  </si>
  <si>
    <t>Air Travel/Other Travel</t>
  </si>
  <si>
    <t>User Input</t>
  </si>
  <si>
    <t>Calculation</t>
  </si>
  <si>
    <t>https://www.icc.illinois.gov/industry-reports/environmental-disclosure, use appropriate utility</t>
  </si>
  <si>
    <t>Commuting Trips (round trip)</t>
  </si>
  <si>
    <t>70% average distance to district boundary, 176% average distance to district boundary, modify as appropriate/desired</t>
  </si>
  <si>
    <t>https://www.eia.gov/environment/emissions/co2_vol_mass.php</t>
  </si>
  <si>
    <t>Gasoline (Gallons)</t>
  </si>
  <si>
    <t>Diesel (Gallons)</t>
  </si>
  <si>
    <t>Sample Emmissions Inventory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</si>
</sst>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5" tint="-0.24997000396251678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+mn-cs"/>
      <family val="2"/>
    </font>
    <font>
      <sz val="18"/>
      <color theme="1" tint="0.5"/>
      <name val="Calibri"/>
      <family val="2"/>
    </font>
    <font>
      <sz val="12"/>
      <color theme="1" tint="0.35"/>
      <name val="+mn-cs"/>
      <family val="2"/>
    </font>
    <font>
      <sz val="20"/>
      <color theme="1" tint="0.35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  <font>
      <sz val="18"/>
      <color theme="1" tint="0.25"/>
      <name val="Calibri"/>
      <family val="2"/>
    </font>
    <font>
      <sz val="18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165" fontId="0" fillId="0" borderId="1" xfId="0" applyNumberFormat="1" applyBorder="1"/>
    <xf numFmtId="4" fontId="2" fillId="0" borderId="1" xfId="0" applyNumberFormat="1" applyFont="1" applyBorder="1"/>
    <xf numFmtId="0" fontId="0" fillId="0" borderId="1" xfId="0" applyFont="1" applyBorder="1"/>
    <xf numFmtId="0" fontId="0" fillId="0" borderId="0" xfId="0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4" fontId="0" fillId="0" borderId="0" xfId="0" applyNumberFormat="1" applyFill="1" applyBorder="1"/>
    <xf numFmtId="0" fontId="6" fillId="0" borderId="0" xfId="0" applyFont="1"/>
    <xf numFmtId="0" fontId="4" fillId="2" borderId="1" xfId="0" applyFont="1" applyFill="1" applyBorder="1"/>
    <xf numFmtId="4" fontId="2" fillId="0" borderId="0" xfId="0" applyNumberFormat="1" applyFont="1" applyFill="1" applyBorder="1"/>
    <xf numFmtId="0" fontId="4" fillId="0" borderId="0" xfId="0" applyFont="1"/>
    <xf numFmtId="164" fontId="0" fillId="0" borderId="0" xfId="18" applyNumberFormat="1" applyFont="1" applyBorder="1"/>
    <xf numFmtId="3" fontId="7" fillId="0" borderId="0" xfId="0" applyNumberFormat="1" applyFont="1" applyBorder="1"/>
    <xf numFmtId="4" fontId="0" fillId="0" borderId="0" xfId="0" applyNumberFormat="1"/>
    <xf numFmtId="164" fontId="0" fillId="0" borderId="0" xfId="18" applyNumberFormat="1" applyFont="1" applyFill="1" applyBorder="1"/>
    <xf numFmtId="165" fontId="0" fillId="0" borderId="0" xfId="0" applyNumberFormat="1" applyFont="1" applyFill="1" applyBorder="1"/>
    <xf numFmtId="164" fontId="7" fillId="0" borderId="0" xfId="18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0" fontId="4" fillId="3" borderId="1" xfId="20" applyFont="1" applyFill="1" applyBorder="1"/>
    <xf numFmtId="3" fontId="4" fillId="3" borderId="1" xfId="20" applyNumberFormat="1" applyFont="1" applyFill="1" applyBorder="1"/>
    <xf numFmtId="0" fontId="4" fillId="4" borderId="0" xfId="0" applyFont="1" applyFill="1"/>
    <xf numFmtId="3" fontId="4" fillId="4" borderId="1" xfId="0" applyNumberFormat="1" applyFont="1" applyFill="1" applyBorder="1"/>
    <xf numFmtId="3" fontId="0" fillId="4" borderId="0" xfId="0" applyNumberFormat="1" applyFill="1"/>
    <xf numFmtId="2" fontId="4" fillId="4" borderId="1" xfId="0" applyNumberFormat="1" applyFont="1" applyFill="1" applyBorder="1"/>
    <xf numFmtId="165" fontId="4" fillId="4" borderId="1" xfId="20" applyNumberFormat="1" applyFont="1" applyFill="1" applyBorder="1"/>
    <xf numFmtId="165" fontId="4" fillId="4" borderId="1" xfId="0" applyNumberFormat="1" applyFont="1" applyFill="1" applyBorder="1"/>
    <xf numFmtId="4" fontId="4" fillId="4" borderId="1" xfId="0" applyNumberFormat="1" applyFont="1" applyFill="1" applyBorder="1"/>
    <xf numFmtId="4" fontId="0" fillId="5" borderId="1" xfId="0" applyNumberFormat="1" applyFill="1" applyBorder="1"/>
    <xf numFmtId="3" fontId="4" fillId="5" borderId="1" xfId="20" applyNumberFormat="1" applyFont="1" applyFill="1" applyBorder="1"/>
    <xf numFmtId="0" fontId="4" fillId="5" borderId="1" xfId="20" applyFont="1" applyFill="1" applyBorder="1"/>
    <xf numFmtId="165" fontId="4" fillId="5" borderId="1" xfId="20" applyNumberFormat="1" applyFont="1" applyFill="1" applyBorder="1"/>
    <xf numFmtId="4" fontId="0" fillId="4" borderId="1" xfId="0" applyNumberFormat="1" applyFill="1" applyBorder="1"/>
    <xf numFmtId="4" fontId="0" fillId="4" borderId="0" xfId="0" applyNumberFormat="1" applyFill="1" applyBorder="1"/>
    <xf numFmtId="165" fontId="4" fillId="5" borderId="1" xfId="0" applyNumberFormat="1" applyFont="1" applyFill="1" applyBorder="1"/>
    <xf numFmtId="0" fontId="4" fillId="5" borderId="0" xfId="0" applyFont="1" applyFill="1"/>
    <xf numFmtId="0" fontId="0" fillId="5" borderId="1" xfId="0" applyFill="1" applyBorder="1"/>
    <xf numFmtId="0" fontId="0" fillId="4" borderId="1" xfId="0" applyFill="1" applyBorder="1"/>
    <xf numFmtId="165" fontId="0" fillId="4" borderId="1" xfId="0" applyNumberFormat="1" applyFill="1" applyBorder="1"/>
    <xf numFmtId="165" fontId="0" fillId="4" borderId="1" xfId="0" applyNumberFormat="1" applyFont="1" applyFill="1" applyBorder="1"/>
    <xf numFmtId="165" fontId="0" fillId="4" borderId="5" xfId="0" applyNumberFormat="1" applyFont="1" applyFill="1" applyBorder="1"/>
    <xf numFmtId="165" fontId="0" fillId="4" borderId="0" xfId="0" applyNumberFormat="1" applyFont="1" applyFill="1" applyBorder="1"/>
    <xf numFmtId="9" fontId="0" fillId="4" borderId="0" xfId="15" applyFont="1" applyFill="1"/>
    <xf numFmtId="3" fontId="4" fillId="5" borderId="1" xfId="18" applyNumberFormat="1" applyFont="1" applyFill="1" applyBorder="1" applyAlignment="1">
      <alignment/>
    </xf>
    <xf numFmtId="164" fontId="4" fillId="5" borderId="1" xfId="18" applyNumberFormat="1" applyFont="1" applyFill="1" applyBorder="1" applyAlignment="1">
      <alignment/>
    </xf>
    <xf numFmtId="0" fontId="3" fillId="0" borderId="0" xfId="20"/>
    <xf numFmtId="0" fontId="8" fillId="0" borderId="0" xfId="0" applyFont="1"/>
    <xf numFmtId="0" fontId="9" fillId="5" borderId="0" xfId="0" applyFont="1" applyFill="1"/>
    <xf numFmtId="0" fontId="9" fillId="4" borderId="0" xfId="0" applyFont="1" applyFill="1"/>
    <xf numFmtId="0" fontId="0" fillId="5" borderId="3" xfId="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"/>
          <c:y val="0.178"/>
          <c:w val="0.82925"/>
          <c:h val="0.51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'Emissions Inventory Table'!$A$79</c:f>
              <c:strCache>
                <c:ptCount val="1"/>
                <c:pt idx="0">
                  <c:v>Scope 1 Emissions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'Emissions Inventory Table'!$K$47:$U$47</c:f>
              <c:numCache/>
            </c:numRef>
          </c:cat>
          <c:val>
            <c:numRef>
              <c:f>'Emissions Inventory Table'!$B$79:$F$79</c:f>
              <c:numCache/>
            </c:numRef>
          </c:val>
        </c:ser>
        <c:ser>
          <c:idx val="1"/>
          <c:order val="1"/>
          <c:tx>
            <c:strRef>
              <c:f>'Emissions Inventory Table'!$A$80</c:f>
              <c:strCache>
                <c:ptCount val="1"/>
                <c:pt idx="0">
                  <c:v>Scope 2 Emissions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'Emissions Inventory Table'!$K$47:$U$47</c:f>
              <c:numCache/>
            </c:numRef>
          </c:cat>
          <c:val>
            <c:numRef>
              <c:f>'Emissions Inventory Table'!$B$80:$F$80</c:f>
              <c:numCache/>
            </c:numRef>
          </c:val>
        </c:ser>
        <c:ser>
          <c:idx val="2"/>
          <c:order val="2"/>
          <c:tx>
            <c:strRef>
              <c:f>'Emissions Inventory Table'!$A$81</c:f>
              <c:strCache>
                <c:ptCount val="1"/>
                <c:pt idx="0">
                  <c:v>Scope 3 Emissions</c:v>
                </c:pt>
              </c:strCache>
            </c:strRef>
          </c:tx>
          <c:spPr>
            <a:solidFill>
              <a:srgbClr val="7B37B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'Emissions Inventory Table'!$K$47:$U$47</c:f>
              <c:numCache/>
            </c:numRef>
          </c:cat>
          <c:val>
            <c:numRef>
              <c:f>'Emissions Inventory Table'!$B$81:$F$81</c:f>
              <c:numCache/>
            </c:numRef>
          </c:val>
        </c:ser>
        <c:overlap val="100"/>
        <c:axId val="32812909"/>
        <c:axId val="26880726"/>
      </c:barChart>
      <c:catAx>
        <c:axId val="328129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Greenhouse Gas (GHG) in </a:t>
                </a:r>
                <a:r>
                  <a:rPr lang="en-US" cap="none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rPr>
                  <a:t>MT CO2e</a:t>
                </a:r>
              </a:p>
            </c:rich>
          </c:tx>
          <c:layout>
            <c:manualLayout>
              <c:xMode val="edge"/>
              <c:yMode val="edge"/>
              <c:x val="0.35"/>
              <c:y val="0.7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129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845"/>
          <c:w val="0.6085"/>
          <c:h val="0.06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Emissions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'Emissions Inventory Table'!$A$79</c:f>
              <c:strCache>
                <c:ptCount val="1"/>
                <c:pt idx="0">
                  <c:v>Scope 1 Emissions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'Emissions Inventory Table'!$B$56:$E$56</c:f>
              <c:numCache/>
            </c:numRef>
          </c:cat>
          <c:val>
            <c:numRef>
              <c:f>'Emissions Inventory Table'!$B$79:$E$79</c:f>
              <c:numCache/>
            </c:numRef>
          </c:val>
          <c:smooth val="0"/>
        </c:ser>
        <c:ser>
          <c:idx val="1"/>
          <c:order val="1"/>
          <c:tx>
            <c:strRef>
              <c:f>'Emissions Inventory Table'!$A$80</c:f>
              <c:strCache>
                <c:ptCount val="1"/>
                <c:pt idx="0">
                  <c:v>Scope 2 Emissions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'Emissions Inventory Table'!$B$56:$E$56</c:f>
              <c:numCache/>
            </c:numRef>
          </c:cat>
          <c:val>
            <c:numRef>
              <c:f>'Emissions Inventory Table'!$B$80:$E$80</c:f>
              <c:numCache/>
            </c:numRef>
          </c:val>
          <c:smooth val="0"/>
        </c:ser>
        <c:ser>
          <c:idx val="2"/>
          <c:order val="2"/>
          <c:tx>
            <c:strRef>
              <c:f>'Emissions Inventory Table'!$A$81</c:f>
              <c:strCache>
                <c:ptCount val="1"/>
                <c:pt idx="0">
                  <c:v>Scope 3 Emissions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'Emissions Inventory Table'!$B$56:$E$56</c:f>
              <c:numCache/>
            </c:numRef>
          </c:cat>
          <c:val>
            <c:numRef>
              <c:f>'Emissions Inventory Table'!$B$81:$E$81</c:f>
              <c:numCache/>
            </c:numRef>
          </c:val>
          <c:smooth val="0"/>
        </c:ser>
        <c:axId val="40599943"/>
        <c:axId val="29855168"/>
      </c:lineChart>
      <c:lineChart>
        <c:grouping val="standard"/>
        <c:varyColors val="0"/>
        <c:ser>
          <c:idx val="3"/>
          <c:order val="3"/>
          <c:tx>
            <c:strRef>
              <c:f>'Emissions Inventory Table'!$A$85</c:f>
              <c:strCache>
                <c:ptCount val="1"/>
                <c:pt idx="0">
                  <c:v>Scope 1 %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'Emissions Inventory Table'!$B$85:$E$85</c:f>
              <c:numCache/>
            </c:numRef>
          </c:val>
          <c:smooth val="0"/>
        </c:ser>
        <c:ser>
          <c:idx val="4"/>
          <c:order val="4"/>
          <c:tx>
            <c:strRef>
              <c:f>'Emissions Inventory Table'!$A$86</c:f>
              <c:strCache>
                <c:ptCount val="1"/>
                <c:pt idx="0">
                  <c:v>Scope 2 %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'Emissions Inventory Table'!$B$86:$E$86</c:f>
              <c:numCache/>
            </c:numRef>
          </c:val>
          <c:smooth val="0"/>
        </c:ser>
        <c:ser>
          <c:idx val="5"/>
          <c:order val="5"/>
          <c:tx>
            <c:strRef>
              <c:f>'Emissions Inventory Table'!$A$87</c:f>
              <c:strCache>
                <c:ptCount val="1"/>
                <c:pt idx="0">
                  <c:v>Scope 3 %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'Emissions Inventory Table'!$B$87:$E$87</c:f>
              <c:numCache/>
            </c:numRef>
          </c:val>
          <c:smooth val="0"/>
        </c:ser>
        <c:axId val="261057"/>
        <c:axId val="2349514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125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99943"/>
        <c:crosses val="autoZero"/>
        <c:crossBetween val="between"/>
        <c:dispUnits/>
      </c:valAx>
      <c:catAx>
        <c:axId val="26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  <c:max val="0.56"/>
          <c:min val="0.25"/>
        </c:scaling>
        <c:axPos val="l"/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0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Emissions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'Emissions Inventory Table'!$A$44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'Emissions Inventory Table'!$B$7:$E$7</c:f>
              <c:numCache/>
            </c:numRef>
          </c:cat>
          <c:val>
            <c:numRef>
              <c:f>'Emissions Inventory Table'!$B$44:$E$44</c:f>
              <c:numCache/>
            </c:numRef>
          </c:val>
          <c:smooth val="0"/>
        </c:ser>
        <c:axId val="21145627"/>
        <c:axId val="56092916"/>
      </c:lineChart>
      <c:lineChart>
        <c:grouping val="standard"/>
        <c:varyColors val="0"/>
        <c:ser>
          <c:idx val="1"/>
          <c:order val="1"/>
          <c:tx>
            <c:strRef>
              <c:f>'Emissions Inventory Table'!$A$45</c:f>
              <c:strCache>
                <c:ptCount val="1"/>
                <c:pt idx="0">
                  <c:v>Per Full-Time Enrollment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'Emissions Inventory Table'!$B$7:$E$7</c:f>
              <c:numCache/>
            </c:numRef>
          </c:cat>
          <c:val>
            <c:numRef>
              <c:f>'Emissions Inventory Table'!$B$45:$E$45</c:f>
              <c:numCache/>
            </c:numRef>
          </c:val>
          <c:smooth val="0"/>
        </c:ser>
        <c:ser>
          <c:idx val="2"/>
          <c:order val="2"/>
          <c:tx>
            <c:strRef>
              <c:f>'Emissions Inventory Table'!$A$46</c:f>
              <c:strCache>
                <c:ptCount val="1"/>
                <c:pt idx="0">
                  <c:v>Per 1000 Square Feet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'Emissions Inventory Table'!$B$7:$E$7</c:f>
              <c:numCache/>
            </c:numRef>
          </c:cat>
          <c:val>
            <c:numRef>
              <c:f>'Emissions Inventory Table'!$B$46:$E$46</c:f>
              <c:numCache/>
            </c:numRef>
          </c:val>
          <c:smooth val="0"/>
        </c:ser>
        <c:axId val="35074197"/>
        <c:axId val="47232318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Total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Emissions (mT CO2e)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145627"/>
        <c:crosses val="autoZero"/>
        <c:crossBetween val="between"/>
        <c:dispUnits/>
      </c:valAx>
      <c:catAx>
        <c:axId val="3507419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2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Normalized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Emissions (mT CO2e)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074197"/>
        <c:crosses val="max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('Emissions Inventory Table'!$A$25,'Emissions Inventory Table'!$A$30,'Emissions Inventory Table'!$A$37,'Emissions Inventory Table'!$A$40)</c:f>
              <c:strCache/>
            </c:strRef>
          </c:cat>
          <c:val>
            <c:numRef>
              <c:f>('Emissions Inventory Table'!$E$25,'Emissions Inventory Table'!$E$30,'Emissions Inventory Table'!$E$37,'Emissions Inventory Table'!$E$40)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952500</xdr:colOff>
      <xdr:row>86</xdr:row>
      <xdr:rowOff>28575</xdr:rowOff>
    </xdr:from>
    <xdr:to>
      <xdr:col>45</xdr:col>
      <xdr:colOff>542925</xdr:colOff>
      <xdr:row>116</xdr:row>
      <xdr:rowOff>95250</xdr:rowOff>
    </xdr:to>
    <xdr:graphicFrame macro="">
      <xdr:nvGraphicFramePr>
        <xdr:cNvPr id="12" name="Chart 11"/>
        <xdr:cNvGraphicFramePr/>
      </xdr:nvGraphicFramePr>
      <xdr:xfrm>
        <a:off x="30356175" y="16706850"/>
        <a:ext cx="126396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50</xdr:row>
      <xdr:rowOff>142875</xdr:rowOff>
    </xdr:from>
    <xdr:to>
      <xdr:col>18</xdr:col>
      <xdr:colOff>771525</xdr:colOff>
      <xdr:row>82</xdr:row>
      <xdr:rowOff>171450</xdr:rowOff>
    </xdr:to>
    <xdr:graphicFrame macro="">
      <xdr:nvGraphicFramePr>
        <xdr:cNvPr id="10" name="Chart 9"/>
        <xdr:cNvGraphicFramePr/>
      </xdr:nvGraphicFramePr>
      <xdr:xfrm>
        <a:off x="14106525" y="9963150"/>
        <a:ext cx="998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7</xdr:row>
      <xdr:rowOff>38100</xdr:rowOff>
    </xdr:from>
    <xdr:to>
      <xdr:col>18</xdr:col>
      <xdr:colOff>904875</xdr:colOff>
      <xdr:row>44</xdr:row>
      <xdr:rowOff>152400</xdr:rowOff>
    </xdr:to>
    <xdr:graphicFrame macro="">
      <xdr:nvGraphicFramePr>
        <xdr:cNvPr id="11" name="Chart 10"/>
        <xdr:cNvGraphicFramePr/>
      </xdr:nvGraphicFramePr>
      <xdr:xfrm>
        <a:off x="14068425" y="1666875"/>
        <a:ext cx="10153650" cy="716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171450</xdr:colOff>
      <xdr:row>7</xdr:row>
      <xdr:rowOff>47625</xdr:rowOff>
    </xdr:from>
    <xdr:to>
      <xdr:col>34</xdr:col>
      <xdr:colOff>161925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24422100" y="1676400"/>
        <a:ext cx="11487150" cy="694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cc.illinois.gov/industry-reports/environmental-disclosur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="78" zoomScaleNormal="78" workbookViewId="0" topLeftCell="A1">
      <pane xSplit="1" topLeftCell="B1" activePane="topRight" state="frozen"/>
      <selection pane="topRight" activeCell="A1" sqref="A1"/>
    </sheetView>
  </sheetViews>
  <sheetFormatPr defaultColWidth="9.140625" defaultRowHeight="15"/>
  <cols>
    <col min="1" max="1" width="26.28125" style="0" customWidth="1"/>
    <col min="2" max="6" width="12.421875" style="0" customWidth="1"/>
    <col min="7" max="7" width="14.7109375" style="0" customWidth="1"/>
    <col min="8" max="8" width="88.140625" style="0" bestFit="1" customWidth="1"/>
    <col min="9" max="9" width="14.00390625" style="0" customWidth="1"/>
    <col min="10" max="10" width="32.421875" style="0" customWidth="1"/>
    <col min="11" max="21" width="14.00390625" style="0" customWidth="1"/>
    <col min="22" max="22" width="15.8515625" style="0" customWidth="1"/>
    <col min="23" max="23" width="15.140625" style="0" customWidth="1"/>
    <col min="26" max="26" width="15.140625" style="0" customWidth="1"/>
    <col min="27" max="27" width="16.00390625" style="0" customWidth="1"/>
  </cols>
  <sheetData>
    <row r="1" ht="26.25">
      <c r="A1" s="57" t="s">
        <v>62</v>
      </c>
    </row>
    <row r="3" ht="21">
      <c r="A3" s="58" t="s">
        <v>54</v>
      </c>
    </row>
    <row r="4" ht="21">
      <c r="A4" s="59" t="s">
        <v>55</v>
      </c>
    </row>
    <row r="6" ht="15">
      <c r="W6" s="3"/>
    </row>
    <row r="7" spans="1:23" ht="15">
      <c r="A7" s="14" t="s">
        <v>30</v>
      </c>
      <c r="B7" s="13">
        <v>2016</v>
      </c>
      <c r="C7" s="13">
        <v>2017</v>
      </c>
      <c r="D7" s="13">
        <v>2018</v>
      </c>
      <c r="E7" s="13">
        <v>2019</v>
      </c>
      <c r="F7" s="13">
        <v>2020</v>
      </c>
      <c r="G7" s="12"/>
      <c r="H7" s="6" t="s">
        <v>1</v>
      </c>
      <c r="W7" s="4"/>
    </row>
    <row r="8" spans="1:23" ht="15">
      <c r="A8" s="39" t="s">
        <v>33</v>
      </c>
      <c r="B8" s="54">
        <v>1652132</v>
      </c>
      <c r="C8" s="54">
        <v>1655330</v>
      </c>
      <c r="D8" s="54">
        <v>1655330</v>
      </c>
      <c r="E8" s="54">
        <v>1703241</v>
      </c>
      <c r="F8" s="55"/>
      <c r="G8" s="8" t="s">
        <v>25</v>
      </c>
      <c r="H8" s="8"/>
      <c r="V8" s="16"/>
      <c r="W8" s="4"/>
    </row>
    <row r="9" spans="1:27" ht="15">
      <c r="A9" s="39" t="s">
        <v>32</v>
      </c>
      <c r="B9" s="40">
        <v>9951</v>
      </c>
      <c r="C9" s="40">
        <v>9668</v>
      </c>
      <c r="D9" s="40">
        <v>9372</v>
      </c>
      <c r="E9" s="40">
        <v>9161</v>
      </c>
      <c r="F9" s="41"/>
      <c r="G9" s="8" t="s">
        <v>24</v>
      </c>
      <c r="H9" s="8"/>
      <c r="V9" s="16"/>
      <c r="W9" s="4"/>
      <c r="Y9" s="3"/>
      <c r="Z9" s="2"/>
      <c r="AA9" s="20"/>
    </row>
    <row r="10" spans="1:27" ht="15">
      <c r="A10" s="7" t="s">
        <v>34</v>
      </c>
      <c r="B10" s="31"/>
      <c r="C10" s="31"/>
      <c r="D10" s="31"/>
      <c r="E10" s="31"/>
      <c r="F10" s="31"/>
      <c r="G10" s="8"/>
      <c r="H10" s="8"/>
      <c r="V10" s="16"/>
      <c r="W10" s="4"/>
      <c r="Y10" s="3"/>
      <c r="Z10" s="2"/>
      <c r="AA10" s="20"/>
    </row>
    <row r="11" spans="1:27" ht="15">
      <c r="A11" s="7"/>
      <c r="B11" s="31"/>
      <c r="C11" s="31"/>
      <c r="D11" s="31"/>
      <c r="E11" s="31"/>
      <c r="F11" s="30"/>
      <c r="G11" s="8"/>
      <c r="H11" s="8"/>
      <c r="V11" s="16"/>
      <c r="W11" s="4"/>
      <c r="Y11" s="3"/>
      <c r="Z11" s="2"/>
      <c r="AA11" s="20"/>
    </row>
    <row r="12" spans="1:27" ht="15">
      <c r="A12" s="39" t="s">
        <v>39</v>
      </c>
      <c r="B12" s="40">
        <v>4836</v>
      </c>
      <c r="C12" s="40">
        <v>4882</v>
      </c>
      <c r="D12" s="40">
        <v>4606</v>
      </c>
      <c r="E12" s="40">
        <v>4519</v>
      </c>
      <c r="F12" s="41"/>
      <c r="G12" s="8"/>
      <c r="H12" s="8"/>
      <c r="V12" s="16"/>
      <c r="W12" s="4"/>
      <c r="Y12" s="3"/>
      <c r="Z12" s="2"/>
      <c r="AA12" s="20"/>
    </row>
    <row r="13" spans="1:27" ht="15">
      <c r="A13" s="39" t="s">
        <v>40</v>
      </c>
      <c r="B13" s="40">
        <v>9306</v>
      </c>
      <c r="C13" s="40">
        <v>8867</v>
      </c>
      <c r="D13" s="40">
        <v>8924</v>
      </c>
      <c r="E13" s="40">
        <v>8958</v>
      </c>
      <c r="F13" s="41"/>
      <c r="G13" s="8"/>
      <c r="H13" s="8"/>
      <c r="V13" s="16"/>
      <c r="W13" s="4"/>
      <c r="Y13" s="3"/>
      <c r="Z13" s="2"/>
      <c r="AA13" s="20"/>
    </row>
    <row r="14" spans="1:27" ht="15">
      <c r="A14" s="39" t="s">
        <v>41</v>
      </c>
      <c r="B14" s="40">
        <v>22675</v>
      </c>
      <c r="C14" s="40">
        <v>22665</v>
      </c>
      <c r="D14" s="40">
        <v>22897</v>
      </c>
      <c r="E14" s="40">
        <v>20233</v>
      </c>
      <c r="F14" s="41"/>
      <c r="G14" s="8"/>
      <c r="H14" s="8"/>
      <c r="V14" s="16"/>
      <c r="W14" s="4"/>
      <c r="Y14" s="3"/>
      <c r="Z14" s="2"/>
      <c r="AA14" s="20"/>
    </row>
    <row r="15" spans="1:27" ht="15">
      <c r="A15" s="39" t="s">
        <v>35</v>
      </c>
      <c r="B15" s="40">
        <v>208</v>
      </c>
      <c r="C15" s="40">
        <v>204</v>
      </c>
      <c r="D15" s="40">
        <v>205</v>
      </c>
      <c r="E15" s="40">
        <v>201</v>
      </c>
      <c r="F15" s="41"/>
      <c r="G15" s="8"/>
      <c r="H15" s="8"/>
      <c r="V15" s="16"/>
      <c r="W15" s="4"/>
      <c r="Y15" s="3"/>
      <c r="Z15" s="2"/>
      <c r="AA15" s="20"/>
    </row>
    <row r="16" spans="1:27" ht="15">
      <c r="A16" s="39" t="s">
        <v>36</v>
      </c>
      <c r="B16" s="40">
        <v>487</v>
      </c>
      <c r="C16" s="40">
        <v>467</v>
      </c>
      <c r="D16" s="40">
        <v>441</v>
      </c>
      <c r="E16" s="40">
        <v>437</v>
      </c>
      <c r="F16" s="41"/>
      <c r="G16" s="8"/>
      <c r="H16" s="8"/>
      <c r="V16" s="16"/>
      <c r="W16" s="4"/>
      <c r="Y16" s="3"/>
      <c r="Z16" s="2"/>
      <c r="AA16" s="20"/>
    </row>
    <row r="17" spans="1:27" ht="15">
      <c r="A17" s="39" t="s">
        <v>42</v>
      </c>
      <c r="B17" s="40"/>
      <c r="C17" s="40"/>
      <c r="D17" s="40"/>
      <c r="E17" s="40"/>
      <c r="F17" s="41"/>
      <c r="G17" s="8"/>
      <c r="H17" s="8"/>
      <c r="V17" s="16"/>
      <c r="W17" s="4"/>
      <c r="Y17" s="3"/>
      <c r="Z17" s="2"/>
      <c r="AA17" s="20"/>
    </row>
    <row r="18" spans="1:27" ht="15">
      <c r="A18" s="39" t="s">
        <v>37</v>
      </c>
      <c r="B18" s="40">
        <f>696-B15</f>
        <v>488</v>
      </c>
      <c r="C18" s="40">
        <f>712-C15</f>
        <v>508</v>
      </c>
      <c r="D18" s="40">
        <f>721-D15</f>
        <v>516</v>
      </c>
      <c r="E18" s="40">
        <f>729-E15</f>
        <v>528</v>
      </c>
      <c r="F18" s="41"/>
      <c r="G18" s="8"/>
      <c r="H18" s="8"/>
      <c r="V18" s="16"/>
      <c r="W18" s="4"/>
      <c r="Y18" s="3"/>
      <c r="Z18" s="2"/>
      <c r="AA18" s="20"/>
    </row>
    <row r="19" spans="1:27" ht="15">
      <c r="A19" s="39" t="s">
        <v>38</v>
      </c>
      <c r="B19" s="40">
        <f>812-B16</f>
        <v>325</v>
      </c>
      <c r="C19" s="40">
        <f>769-C16</f>
        <v>302</v>
      </c>
      <c r="D19" s="40">
        <f>744-D16</f>
        <v>303</v>
      </c>
      <c r="E19" s="40">
        <f>766-E16</f>
        <v>329</v>
      </c>
      <c r="F19" s="41"/>
      <c r="G19" s="8"/>
      <c r="H19" s="8"/>
      <c r="V19" s="16"/>
      <c r="W19" s="4"/>
      <c r="Y19" s="3"/>
      <c r="Z19" s="2"/>
      <c r="AA19" s="20"/>
    </row>
    <row r="20" spans="1:27" ht="15">
      <c r="A20" s="43" t="s">
        <v>57</v>
      </c>
      <c r="B20" s="33">
        <f aca="true" t="shared" si="0" ref="B20:E20">B12*3.9*32+B13*3.9*32+B14*12+B15*4*40+B16*40+B18*5*50+B19*3*47+B17*40</f>
        <v>2257606.6</v>
      </c>
      <c r="C20" s="33">
        <f t="shared" si="0"/>
        <v>2208757.1999999997</v>
      </c>
      <c r="D20" s="33">
        <f t="shared" si="0"/>
        <v>2185471</v>
      </c>
      <c r="E20" s="33">
        <f t="shared" si="0"/>
        <v>2152754.5999999996</v>
      </c>
      <c r="F20" s="33">
        <f>F12*3.9*32+F13*3.9*32+F14*12+F15*4*40+F16*40+F18*5*50+F19*3*47+F17*40</f>
        <v>0</v>
      </c>
      <c r="G20" s="8"/>
      <c r="H20" s="8"/>
      <c r="V20" s="16"/>
      <c r="W20" s="4"/>
      <c r="Y20" s="3"/>
      <c r="Z20" s="2"/>
      <c r="AA20" s="20"/>
    </row>
    <row r="21" spans="1:27" ht="15">
      <c r="A21" s="43" t="s">
        <v>43</v>
      </c>
      <c r="B21" s="35">
        <f aca="true" t="shared" si="1" ref="B21:C21">7.01*0.66+17.58*0.34</f>
        <v>10.6038</v>
      </c>
      <c r="C21" s="35">
        <f t="shared" si="1"/>
        <v>10.6038</v>
      </c>
      <c r="D21" s="35">
        <f>7.01*0.66+17.58*0.34</f>
        <v>10.6038</v>
      </c>
      <c r="E21" s="35">
        <f aca="true" t="shared" si="2" ref="E21:F21">7.01*0.66+17.58*0.34</f>
        <v>10.6038</v>
      </c>
      <c r="F21" s="35">
        <f t="shared" si="2"/>
        <v>10.6038</v>
      </c>
      <c r="G21" s="8"/>
      <c r="H21" s="8" t="s">
        <v>58</v>
      </c>
      <c r="V21" s="16"/>
      <c r="W21" s="4"/>
      <c r="Y21" s="3"/>
      <c r="Z21" s="2"/>
      <c r="AA21" s="20"/>
    </row>
    <row r="22" spans="1:27" ht="15">
      <c r="A22" s="43" t="s">
        <v>44</v>
      </c>
      <c r="B22" s="36">
        <v>24.7</v>
      </c>
      <c r="C22" s="36">
        <v>24.9</v>
      </c>
      <c r="D22" s="36">
        <v>25.1</v>
      </c>
      <c r="E22" s="36">
        <v>25.2</v>
      </c>
      <c r="F22" s="36">
        <v>25.2</v>
      </c>
      <c r="G22" s="8"/>
      <c r="H22" s="22" t="s">
        <v>47</v>
      </c>
      <c r="V22" s="16"/>
      <c r="W22" s="4"/>
      <c r="Y22" s="3"/>
      <c r="Z22" s="2"/>
      <c r="AA22" s="20"/>
    </row>
    <row r="23" spans="1:27" ht="15">
      <c r="A23" s="7"/>
      <c r="B23" s="28"/>
      <c r="C23" s="28"/>
      <c r="D23" s="28"/>
      <c r="E23" s="28"/>
      <c r="F23" s="28"/>
      <c r="G23" s="8"/>
      <c r="H23" s="8"/>
      <c r="W23" s="4"/>
      <c r="Y23" s="3"/>
      <c r="Z23" s="21"/>
      <c r="AA23" s="3"/>
    </row>
    <row r="24" spans="1:27" ht="15">
      <c r="A24" s="9" t="s">
        <v>8</v>
      </c>
      <c r="B24" s="28"/>
      <c r="C24" s="28"/>
      <c r="D24" s="28"/>
      <c r="E24" s="28"/>
      <c r="F24" s="28"/>
      <c r="G24" s="8"/>
      <c r="H24" s="8"/>
      <c r="W24" s="11"/>
      <c r="Y24" s="3"/>
      <c r="Z24" s="2"/>
      <c r="AA24" s="3"/>
    </row>
    <row r="25" spans="1:27" ht="15">
      <c r="A25" s="43" t="s">
        <v>16</v>
      </c>
      <c r="B25" s="37">
        <f aca="true" t="shared" si="3" ref="B25:F25">B58*B50</f>
        <v>7618.5380000000005</v>
      </c>
      <c r="C25" s="37">
        <f t="shared" si="3"/>
        <v>7533.5207</v>
      </c>
      <c r="D25" s="37">
        <f t="shared" si="3"/>
        <v>8410.9569</v>
      </c>
      <c r="E25" s="37">
        <f t="shared" si="3"/>
        <v>8898.7742</v>
      </c>
      <c r="F25" s="37">
        <f t="shared" si="3"/>
        <v>0</v>
      </c>
      <c r="G25" s="8" t="s">
        <v>2</v>
      </c>
      <c r="H25" s="8"/>
      <c r="W25" s="4"/>
      <c r="Y25" s="3"/>
      <c r="Z25" s="3"/>
      <c r="AA25" s="3"/>
    </row>
    <row r="26" spans="1:23" ht="15">
      <c r="A26" s="43" t="s">
        <v>14</v>
      </c>
      <c r="B26" s="37">
        <v>144.1</v>
      </c>
      <c r="C26" s="37">
        <v>265.66</v>
      </c>
      <c r="D26" s="37">
        <v>192.01</v>
      </c>
      <c r="E26" s="37">
        <v>198.5</v>
      </c>
      <c r="F26" s="37"/>
      <c r="G26" s="8" t="s">
        <v>2</v>
      </c>
      <c r="H26" s="8" t="s">
        <v>59</v>
      </c>
      <c r="W26" s="11"/>
    </row>
    <row r="27" spans="1:23" ht="15">
      <c r="A27" s="43" t="s">
        <v>23</v>
      </c>
      <c r="B27" s="37">
        <f aca="true" t="shared" si="4" ref="B27:F27">B25+B26</f>
        <v>7762.638000000001</v>
      </c>
      <c r="C27" s="37">
        <f t="shared" si="4"/>
        <v>7799.1807</v>
      </c>
      <c r="D27" s="37">
        <f t="shared" si="4"/>
        <v>8602.9669</v>
      </c>
      <c r="E27" s="37">
        <f t="shared" si="4"/>
        <v>9097.2742</v>
      </c>
      <c r="F27" s="37">
        <f t="shared" si="4"/>
        <v>0</v>
      </c>
      <c r="G27" s="8" t="s">
        <v>2</v>
      </c>
      <c r="H27" s="8"/>
      <c r="W27" s="4"/>
    </row>
    <row r="28" spans="1:23" ht="15">
      <c r="A28" s="7"/>
      <c r="B28" s="28"/>
      <c r="C28" s="28"/>
      <c r="D28" s="28"/>
      <c r="E28" s="28"/>
      <c r="F28" s="28"/>
      <c r="G28" s="8"/>
      <c r="H28" s="8"/>
      <c r="W28" s="3"/>
    </row>
    <row r="29" spans="1:23" ht="15">
      <c r="A29" s="9" t="s">
        <v>6</v>
      </c>
      <c r="B29" s="28"/>
      <c r="C29" s="28"/>
      <c r="D29" s="28"/>
      <c r="E29" s="28"/>
      <c r="F29" s="28"/>
      <c r="G29" s="8"/>
      <c r="H29" s="8"/>
      <c r="W29" s="3"/>
    </row>
    <row r="30" spans="1:8" ht="15">
      <c r="A30" s="43" t="s">
        <v>13</v>
      </c>
      <c r="B30" s="36">
        <f>B57*B49</f>
        <v>10541.728448740909</v>
      </c>
      <c r="C30" s="36">
        <f aca="true" t="shared" si="5" ref="C30:F30">C57*C49</f>
        <v>10415.132213890909</v>
      </c>
      <c r="D30" s="36">
        <f t="shared" si="5"/>
        <v>12210.094439045455</v>
      </c>
      <c r="E30" s="36">
        <f t="shared" si="5"/>
        <v>9474.7662752</v>
      </c>
      <c r="F30" s="36">
        <f t="shared" si="5"/>
        <v>0</v>
      </c>
      <c r="G30" s="8" t="s">
        <v>2</v>
      </c>
      <c r="H30" s="8"/>
    </row>
    <row r="31" spans="1:8" ht="15">
      <c r="A31" s="43" t="s">
        <v>19</v>
      </c>
      <c r="B31" s="37"/>
      <c r="C31" s="37"/>
      <c r="D31" s="37"/>
      <c r="E31" s="37"/>
      <c r="F31" s="37"/>
      <c r="G31" s="8" t="s">
        <v>2</v>
      </c>
      <c r="H31" s="8"/>
    </row>
    <row r="32" spans="1:8" ht="15">
      <c r="A32" s="43" t="s">
        <v>18</v>
      </c>
      <c r="B32" s="37"/>
      <c r="C32" s="37"/>
      <c r="D32" s="37"/>
      <c r="E32" s="37"/>
      <c r="F32" s="37"/>
      <c r="G32" s="8" t="s">
        <v>2</v>
      </c>
      <c r="H32" s="8"/>
    </row>
    <row r="33" spans="1:8" ht="15">
      <c r="A33" s="43" t="s">
        <v>17</v>
      </c>
      <c r="B33" s="37"/>
      <c r="C33" s="37"/>
      <c r="D33" s="37"/>
      <c r="E33" s="37"/>
      <c r="F33" s="37"/>
      <c r="G33" s="8" t="s">
        <v>2</v>
      </c>
      <c r="H33" s="8"/>
    </row>
    <row r="34" spans="1:8" ht="15">
      <c r="A34" s="43" t="s">
        <v>15</v>
      </c>
      <c r="B34" s="37">
        <f aca="true" t="shared" si="6" ref="B34:D34">SUM(B30:B33)</f>
        <v>10541.728448740909</v>
      </c>
      <c r="C34" s="37">
        <f t="shared" si="6"/>
        <v>10415.132213890909</v>
      </c>
      <c r="D34" s="37">
        <f t="shared" si="6"/>
        <v>12210.094439045455</v>
      </c>
      <c r="E34" s="37">
        <f>SUM(E30:E33)</f>
        <v>9474.7662752</v>
      </c>
      <c r="F34" s="37">
        <f>SUM(F30:F33)</f>
        <v>0</v>
      </c>
      <c r="G34" s="8" t="s">
        <v>2</v>
      </c>
      <c r="H34" s="8"/>
    </row>
    <row r="35" spans="1:8" ht="15">
      <c r="A35" s="7"/>
      <c r="B35" s="28"/>
      <c r="C35" s="28"/>
      <c r="D35" s="28"/>
      <c r="E35" s="28"/>
      <c r="F35" s="28"/>
      <c r="G35" s="8"/>
      <c r="H35" s="8"/>
    </row>
    <row r="36" spans="1:8" ht="15">
      <c r="A36" s="9" t="s">
        <v>5</v>
      </c>
      <c r="B36" s="28"/>
      <c r="C36" s="28"/>
      <c r="D36" s="28"/>
      <c r="E36" s="28"/>
      <c r="F36" s="28"/>
      <c r="G36" s="8"/>
      <c r="H36" s="8"/>
    </row>
    <row r="37" spans="1:8" ht="15">
      <c r="A37" s="43" t="s">
        <v>12</v>
      </c>
      <c r="B37" s="36">
        <f aca="true" t="shared" si="7" ref="B37:F37">B20*B21*B51</f>
        <v>8634.679678976225</v>
      </c>
      <c r="C37" s="36">
        <f t="shared" si="7"/>
        <v>8379.99094757678</v>
      </c>
      <c r="D37" s="36">
        <f t="shared" si="7"/>
        <v>8225.574589642883</v>
      </c>
      <c r="E37" s="36">
        <f t="shared" si="7"/>
        <v>8070.285585472727</v>
      </c>
      <c r="F37" s="36">
        <f t="shared" si="7"/>
        <v>0</v>
      </c>
      <c r="G37" s="8" t="s">
        <v>2</v>
      </c>
      <c r="H37" s="5"/>
    </row>
    <row r="38" spans="1:8" ht="15">
      <c r="A38" s="39" t="s">
        <v>53</v>
      </c>
      <c r="B38" s="42">
        <f>340.38+28.27</f>
        <v>368.65</v>
      </c>
      <c r="C38" s="42">
        <f>592+34.02</f>
        <v>626.02</v>
      </c>
      <c r="D38" s="42">
        <f>402.04+43.19</f>
        <v>445.23</v>
      </c>
      <c r="E38" s="42">
        <f>545+59</f>
        <v>604</v>
      </c>
      <c r="F38" s="42"/>
      <c r="G38" s="8" t="s">
        <v>2</v>
      </c>
      <c r="H38" s="8"/>
    </row>
    <row r="39" spans="1:8" ht="15">
      <c r="A39" s="39" t="s">
        <v>10</v>
      </c>
      <c r="B39" s="45"/>
      <c r="C39" s="45"/>
      <c r="D39" s="45"/>
      <c r="E39" s="45"/>
      <c r="F39" s="45"/>
      <c r="G39" s="8" t="s">
        <v>2</v>
      </c>
      <c r="H39" s="8"/>
    </row>
    <row r="40" spans="1:8" ht="15">
      <c r="A40" s="43" t="s">
        <v>52</v>
      </c>
      <c r="B40" s="37">
        <f aca="true" t="shared" si="8" ref="B40:E40">B59/1000000*1600*B49</f>
        <v>13.683927363178181</v>
      </c>
      <c r="C40" s="37">
        <f t="shared" si="8"/>
        <v>17.743974489949093</v>
      </c>
      <c r="D40" s="37">
        <f t="shared" si="8"/>
        <v>19.617200129090907</v>
      </c>
      <c r="E40" s="37">
        <f t="shared" si="8"/>
        <v>17.286781419199997</v>
      </c>
      <c r="F40" s="37">
        <f aca="true" t="shared" si="9" ref="F40">F59/1000000*1600*F49</f>
        <v>0</v>
      </c>
      <c r="G40" s="8"/>
      <c r="H40" s="8"/>
    </row>
    <row r="41" spans="1:8" ht="15">
      <c r="A41" s="43" t="s">
        <v>9</v>
      </c>
      <c r="B41" s="37">
        <f aca="true" t="shared" si="10" ref="B41:E41">SUM(B37:B40)</f>
        <v>9017.013606339402</v>
      </c>
      <c r="C41" s="37">
        <f t="shared" si="10"/>
        <v>9023.75492206673</v>
      </c>
      <c r="D41" s="37">
        <f t="shared" si="10"/>
        <v>8690.421789771974</v>
      </c>
      <c r="E41" s="37">
        <f t="shared" si="10"/>
        <v>8691.572366891927</v>
      </c>
      <c r="F41" s="37">
        <f aca="true" t="shared" si="11" ref="F41">SUM(F37:F40)</f>
        <v>0</v>
      </c>
      <c r="G41" s="8" t="s">
        <v>2</v>
      </c>
      <c r="H41" s="8"/>
    </row>
    <row r="42" spans="1:8" ht="15">
      <c r="A42" s="7"/>
      <c r="B42" s="28"/>
      <c r="C42" s="28"/>
      <c r="D42" s="28"/>
      <c r="E42" s="28"/>
      <c r="F42" s="28"/>
      <c r="G42" s="8"/>
      <c r="H42" s="8"/>
    </row>
    <row r="43" spans="1:8" ht="15">
      <c r="A43" s="9" t="s">
        <v>7</v>
      </c>
      <c r="B43" s="28"/>
      <c r="C43" s="28"/>
      <c r="D43" s="28"/>
      <c r="E43" s="28"/>
      <c r="F43" s="28"/>
      <c r="G43" s="8"/>
      <c r="H43" s="8"/>
    </row>
    <row r="44" spans="1:8" ht="15">
      <c r="A44" s="43" t="s">
        <v>0</v>
      </c>
      <c r="B44" s="37">
        <f aca="true" t="shared" si="12" ref="B44:E44">B41+B34+B27</f>
        <v>27321.380055080313</v>
      </c>
      <c r="C44" s="37">
        <f t="shared" si="12"/>
        <v>27238.067835957638</v>
      </c>
      <c r="D44" s="37">
        <f t="shared" si="12"/>
        <v>29503.48312881743</v>
      </c>
      <c r="E44" s="37">
        <f t="shared" si="12"/>
        <v>27263.612842091927</v>
      </c>
      <c r="F44" s="37">
        <f>E44*0.7413</f>
        <v>20210.516199842743</v>
      </c>
      <c r="G44" s="8"/>
      <c r="H44" s="8"/>
    </row>
    <row r="45" spans="1:21" ht="15">
      <c r="A45" s="43" t="s">
        <v>4</v>
      </c>
      <c r="B45" s="38">
        <f aca="true" t="shared" si="13" ref="B45:E45">B44/B9</f>
        <v>2.745591403384616</v>
      </c>
      <c r="C45" s="38">
        <f t="shared" si="13"/>
        <v>2.8173425564705874</v>
      </c>
      <c r="D45" s="38">
        <f t="shared" si="13"/>
        <v>3.1480455749911895</v>
      </c>
      <c r="E45" s="38">
        <f t="shared" si="13"/>
        <v>2.9760520513144773</v>
      </c>
      <c r="F45" s="38" t="e">
        <f aca="true" t="shared" si="14" ref="F45">F44/F9</f>
        <v>#DIV/0!</v>
      </c>
      <c r="G45" s="8"/>
      <c r="H45" s="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3" ht="15">
      <c r="A46" s="43" t="s">
        <v>3</v>
      </c>
      <c r="B46" s="38">
        <f aca="true" t="shared" si="15" ref="B46:E46">B44/B8*1000</f>
        <v>16.537044288882676</v>
      </c>
      <c r="C46" s="38">
        <f t="shared" si="15"/>
        <v>16.454766020042914</v>
      </c>
      <c r="D46" s="38">
        <f t="shared" si="15"/>
        <v>17.823324128009173</v>
      </c>
      <c r="E46" s="38">
        <f t="shared" si="15"/>
        <v>16.006902629805136</v>
      </c>
      <c r="F46" s="38" t="e">
        <f aca="true" t="shared" si="16" ref="F46">F44/F8*1000</f>
        <v>#DIV/0!</v>
      </c>
      <c r="G46" s="8"/>
      <c r="H46" s="8"/>
      <c r="J46" s="2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 ht="15">
      <c r="B47" s="19"/>
      <c r="C47" s="19"/>
      <c r="D47" s="19"/>
      <c r="E47" s="19"/>
      <c r="F47" s="1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">
      <c r="A48" s="18" t="s">
        <v>29</v>
      </c>
      <c r="B48" s="19"/>
      <c r="C48" s="19"/>
      <c r="D48" s="19"/>
      <c r="E48" s="19"/>
      <c r="F48" s="19"/>
      <c r="J48" s="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"/>
      <c r="W48" s="4"/>
    </row>
    <row r="49" spans="1:23" ht="15">
      <c r="A49" s="44" t="s">
        <v>45</v>
      </c>
      <c r="B49" s="32">
        <f>956.51/1000/2200</f>
        <v>0.0004347772727272727</v>
      </c>
      <c r="C49" s="32">
        <f>990.48/1000/2200</f>
        <v>0.0004502181818181818</v>
      </c>
      <c r="D49" s="32">
        <f>945.1/1000/2200</f>
        <v>0.0004295909090909091</v>
      </c>
      <c r="E49" s="32">
        <f>881.54/1000/2200</f>
        <v>0.0004007</v>
      </c>
      <c r="F49" s="32">
        <f>818.42/1000/2200</f>
        <v>0.0003720090909090909</v>
      </c>
      <c r="G49" s="19"/>
      <c r="H49" s="56" t="s">
        <v>56</v>
      </c>
      <c r="J49" s="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"/>
      <c r="W49" s="4"/>
    </row>
    <row r="50" spans="1:23" ht="15">
      <c r="A50" s="44" t="s">
        <v>26</v>
      </c>
      <c r="B50" s="32">
        <v>0.0053</v>
      </c>
      <c r="C50" s="32">
        <v>0.0053</v>
      </c>
      <c r="D50" s="32">
        <v>0.0053</v>
      </c>
      <c r="E50" s="32">
        <v>0.0053</v>
      </c>
      <c r="F50" s="32">
        <v>0.0053</v>
      </c>
      <c r="J50" s="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"/>
      <c r="W50" s="4"/>
    </row>
    <row r="51" spans="1:23" ht="15">
      <c r="A51" s="44" t="s">
        <v>48</v>
      </c>
      <c r="B51" s="32">
        <f aca="true" t="shared" si="17" ref="B51:F51">19.6/2200/B22</f>
        <v>0.0003606919396393081</v>
      </c>
      <c r="C51" s="32">
        <f t="shared" si="17"/>
        <v>0.000357794815626141</v>
      </c>
      <c r="D51" s="32">
        <f t="shared" si="17"/>
        <v>0.00035494386091995656</v>
      </c>
      <c r="E51" s="32">
        <f t="shared" si="17"/>
        <v>0.0003535353535353536</v>
      </c>
      <c r="F51" s="32">
        <f t="shared" si="17"/>
        <v>0.0003535353535353536</v>
      </c>
      <c r="J51" s="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"/>
      <c r="W51" s="4"/>
    </row>
    <row r="52" spans="1:23" ht="15">
      <c r="A52" s="15"/>
      <c r="J52" s="4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"/>
      <c r="W52" s="4"/>
    </row>
    <row r="53" spans="1:23" ht="15">
      <c r="A53" s="15" t="s">
        <v>47</v>
      </c>
      <c r="J53" s="11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"/>
      <c r="W53" s="4"/>
    </row>
    <row r="54" spans="1:23" ht="15">
      <c r="A54" s="22" t="s">
        <v>46</v>
      </c>
      <c r="J54" s="4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"/>
      <c r="W54" s="4"/>
    </row>
    <row r="55" spans="9:23" ht="15">
      <c r="I55" s="3"/>
      <c r="J55" s="11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"/>
      <c r="W55" s="4"/>
    </row>
    <row r="56" spans="1:23" ht="15">
      <c r="A56" s="6"/>
      <c r="B56" s="13">
        <v>2016</v>
      </c>
      <c r="C56" s="13">
        <v>2017</v>
      </c>
      <c r="D56" s="13">
        <v>2018</v>
      </c>
      <c r="E56" s="13">
        <v>2019</v>
      </c>
      <c r="F56" s="13">
        <v>2020</v>
      </c>
      <c r="J56" s="4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4"/>
      <c r="W56" s="4"/>
    </row>
    <row r="57" spans="1:23" ht="15">
      <c r="A57" s="39" t="s">
        <v>27</v>
      </c>
      <c r="B57" s="46">
        <v>24246273</v>
      </c>
      <c r="C57" s="46">
        <v>23133522</v>
      </c>
      <c r="D57" s="46">
        <v>28422609</v>
      </c>
      <c r="E57" s="46">
        <v>23645536</v>
      </c>
      <c r="F57" s="4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">
      <c r="A58" s="47" t="s">
        <v>28</v>
      </c>
      <c r="B58" s="46">
        <v>1437460</v>
      </c>
      <c r="C58" s="46">
        <v>1421419</v>
      </c>
      <c r="D58" s="46">
        <v>1586973</v>
      </c>
      <c r="E58" s="46">
        <v>1679014</v>
      </c>
      <c r="F58" s="46"/>
      <c r="J58" s="4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3" ht="15">
      <c r="A59" s="60" t="s">
        <v>31</v>
      </c>
      <c r="B59" s="46">
        <v>19670887</v>
      </c>
      <c r="C59" s="46">
        <v>24632466</v>
      </c>
      <c r="D59" s="46">
        <v>28540525</v>
      </c>
      <c r="E59" s="46">
        <v>26963410</v>
      </c>
      <c r="F59" s="4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">
      <c r="A60" s="60" t="s">
        <v>60</v>
      </c>
      <c r="B60" s="46"/>
      <c r="C60" s="46"/>
      <c r="D60" s="46"/>
      <c r="E60" s="46"/>
      <c r="F60" s="4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">
      <c r="A61" s="60" t="s">
        <v>61</v>
      </c>
      <c r="B61" s="46"/>
      <c r="C61" s="46"/>
      <c r="D61" s="46"/>
      <c r="E61" s="46"/>
      <c r="F61" s="4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15">
      <c r="B62" s="19"/>
      <c r="C62" s="19"/>
      <c r="D62" s="19"/>
      <c r="E62" s="19"/>
      <c r="F62" s="19"/>
      <c r="J62" s="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5">
      <c r="A63" s="6"/>
      <c r="B63" s="17"/>
      <c r="C63" s="17"/>
      <c r="D63" s="17"/>
      <c r="E63" s="17"/>
      <c r="F63" s="17"/>
      <c r="J63" s="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5">
      <c r="A64" s="5"/>
      <c r="B64" s="29"/>
      <c r="C64" s="29"/>
      <c r="D64" s="29"/>
      <c r="E64" s="29"/>
      <c r="F64" s="29"/>
      <c r="J64" s="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ht="15">
      <c r="A65" s="48" t="s">
        <v>22</v>
      </c>
      <c r="B65" s="33">
        <f aca="true" t="shared" si="18" ref="B65:E65">B8</f>
        <v>1652132</v>
      </c>
      <c r="C65" s="33">
        <f t="shared" si="18"/>
        <v>1655330</v>
      </c>
      <c r="D65" s="33">
        <f t="shared" si="18"/>
        <v>1655330</v>
      </c>
      <c r="E65" s="33">
        <f t="shared" si="18"/>
        <v>1703241</v>
      </c>
      <c r="F65" s="33">
        <f aca="true" t="shared" si="19" ref="F65">F8</f>
        <v>0</v>
      </c>
      <c r="J65" s="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5">
      <c r="A66" s="48" t="s">
        <v>21</v>
      </c>
      <c r="B66" s="33">
        <f aca="true" t="shared" si="20" ref="B66:E66">B44</f>
        <v>27321.380055080313</v>
      </c>
      <c r="C66" s="33">
        <f t="shared" si="20"/>
        <v>27238.067835957638</v>
      </c>
      <c r="D66" s="33">
        <f t="shared" si="20"/>
        <v>29503.48312881743</v>
      </c>
      <c r="E66" s="33">
        <f t="shared" si="20"/>
        <v>27263.612842091927</v>
      </c>
      <c r="F66" s="33">
        <f aca="true" t="shared" si="21" ref="F66">F44</f>
        <v>20210.516199842743</v>
      </c>
      <c r="J66" s="4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ht="15">
      <c r="A67" s="48" t="s">
        <v>20</v>
      </c>
      <c r="B67" s="33">
        <f aca="true" t="shared" si="22" ref="B67:E67">B9</f>
        <v>9951</v>
      </c>
      <c r="C67" s="33">
        <f t="shared" si="22"/>
        <v>9668</v>
      </c>
      <c r="D67" s="33">
        <f t="shared" si="22"/>
        <v>9372</v>
      </c>
      <c r="E67" s="33">
        <f t="shared" si="22"/>
        <v>9161</v>
      </c>
      <c r="F67" s="33">
        <f aca="true" t="shared" si="23" ref="F67">F9</f>
        <v>0</v>
      </c>
      <c r="J67" s="4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2:6" ht="15">
      <c r="B68" s="19"/>
      <c r="C68" s="19"/>
      <c r="D68" s="19"/>
      <c r="E68" s="19"/>
      <c r="F68" s="19"/>
    </row>
    <row r="69" spans="1:6" ht="15">
      <c r="A69" s="6"/>
      <c r="B69" s="17"/>
      <c r="C69" s="17"/>
      <c r="D69" s="17"/>
      <c r="E69" s="17"/>
      <c r="F69" s="17"/>
    </row>
    <row r="70" spans="1:6" ht="15">
      <c r="A70" s="5"/>
      <c r="B70" s="29"/>
      <c r="C70" s="29"/>
      <c r="D70" s="29"/>
      <c r="E70" s="29"/>
      <c r="F70" s="29"/>
    </row>
    <row r="71" spans="1:6" ht="15">
      <c r="A71" s="49" t="s">
        <v>16</v>
      </c>
      <c r="B71" s="33">
        <f aca="true" t="shared" si="24" ref="B71:E71">B25</f>
        <v>7618.5380000000005</v>
      </c>
      <c r="C71" s="33">
        <f t="shared" si="24"/>
        <v>7533.5207</v>
      </c>
      <c r="D71" s="33">
        <f t="shared" si="24"/>
        <v>8410.9569</v>
      </c>
      <c r="E71" s="33">
        <f t="shared" si="24"/>
        <v>8898.7742</v>
      </c>
      <c r="F71" s="33">
        <f aca="true" t="shared" si="25" ref="F71">F25</f>
        <v>0</v>
      </c>
    </row>
    <row r="72" spans="1:6" ht="15">
      <c r="A72" s="49" t="s">
        <v>14</v>
      </c>
      <c r="B72" s="33">
        <f aca="true" t="shared" si="26" ref="B72:E72">B26</f>
        <v>144.1</v>
      </c>
      <c r="C72" s="33">
        <f t="shared" si="26"/>
        <v>265.66</v>
      </c>
      <c r="D72" s="33">
        <f t="shared" si="26"/>
        <v>192.01</v>
      </c>
      <c r="E72" s="33">
        <f t="shared" si="26"/>
        <v>198.5</v>
      </c>
      <c r="F72" s="33">
        <f aca="true" t="shared" si="27" ref="F72">F26</f>
        <v>0</v>
      </c>
    </row>
    <row r="73" spans="1:6" ht="15">
      <c r="A73" s="49" t="s">
        <v>13</v>
      </c>
      <c r="B73" s="33">
        <f aca="true" t="shared" si="28" ref="B73:E73">B30</f>
        <v>10541.728448740909</v>
      </c>
      <c r="C73" s="33">
        <f t="shared" si="28"/>
        <v>10415.132213890909</v>
      </c>
      <c r="D73" s="33">
        <f t="shared" si="28"/>
        <v>12210.094439045455</v>
      </c>
      <c r="E73" s="33">
        <f t="shared" si="28"/>
        <v>9474.7662752</v>
      </c>
      <c r="F73" s="33">
        <f aca="true" t="shared" si="29" ref="F73">F30</f>
        <v>0</v>
      </c>
    </row>
    <row r="74" spans="1:6" ht="15">
      <c r="A74" s="49" t="s">
        <v>12</v>
      </c>
      <c r="B74" s="33">
        <f aca="true" t="shared" si="30" ref="B74:E74">B37</f>
        <v>8634.679678976225</v>
      </c>
      <c r="C74" s="33">
        <f t="shared" si="30"/>
        <v>8379.99094757678</v>
      </c>
      <c r="D74" s="33">
        <f t="shared" si="30"/>
        <v>8225.574589642883</v>
      </c>
      <c r="E74" s="33">
        <f t="shared" si="30"/>
        <v>8070.285585472727</v>
      </c>
      <c r="F74" s="33">
        <f aca="true" t="shared" si="31" ref="F74">F37</f>
        <v>0</v>
      </c>
    </row>
    <row r="75" spans="1:6" ht="15">
      <c r="A75" s="49" t="s">
        <v>11</v>
      </c>
      <c r="B75" s="33">
        <f aca="true" t="shared" si="32" ref="B75:E75">B38</f>
        <v>368.65</v>
      </c>
      <c r="C75" s="33">
        <f t="shared" si="32"/>
        <v>626.02</v>
      </c>
      <c r="D75" s="33">
        <f t="shared" si="32"/>
        <v>445.23</v>
      </c>
      <c r="E75" s="33">
        <f t="shared" si="32"/>
        <v>604</v>
      </c>
      <c r="F75" s="33">
        <f aca="true" t="shared" si="33" ref="F75">F38</f>
        <v>0</v>
      </c>
    </row>
    <row r="76" spans="2:6" ht="15">
      <c r="B76" s="19"/>
      <c r="C76" s="19"/>
      <c r="D76" s="19"/>
      <c r="E76" s="19"/>
      <c r="F76" s="19"/>
    </row>
    <row r="77" spans="1:6" ht="15">
      <c r="A77" s="6"/>
      <c r="B77" s="17"/>
      <c r="C77" s="17"/>
      <c r="D77" s="17"/>
      <c r="E77" s="17"/>
      <c r="F77" s="17"/>
    </row>
    <row r="78" spans="1:6" ht="15">
      <c r="A78" s="10"/>
      <c r="B78" s="29"/>
      <c r="C78" s="29"/>
      <c r="D78" s="29"/>
      <c r="E78" s="29"/>
      <c r="F78" s="29"/>
    </row>
    <row r="79" spans="1:6" ht="15">
      <c r="A79" s="50" t="s">
        <v>8</v>
      </c>
      <c r="B79" s="33">
        <f aca="true" t="shared" si="34" ref="B79:E79">B27</f>
        <v>7762.638000000001</v>
      </c>
      <c r="C79" s="33">
        <f t="shared" si="34"/>
        <v>7799.1807</v>
      </c>
      <c r="D79" s="33">
        <f t="shared" si="34"/>
        <v>8602.9669</v>
      </c>
      <c r="E79" s="33">
        <f t="shared" si="34"/>
        <v>9097.2742</v>
      </c>
      <c r="F79" s="33">
        <f aca="true" t="shared" si="35" ref="F79">F27</f>
        <v>0</v>
      </c>
    </row>
    <row r="80" spans="1:6" ht="15">
      <c r="A80" s="50" t="s">
        <v>6</v>
      </c>
      <c r="B80" s="33">
        <f aca="true" t="shared" si="36" ref="B80:E80">B34</f>
        <v>10541.728448740909</v>
      </c>
      <c r="C80" s="33">
        <f t="shared" si="36"/>
        <v>10415.132213890909</v>
      </c>
      <c r="D80" s="33">
        <f t="shared" si="36"/>
        <v>12210.094439045455</v>
      </c>
      <c r="E80" s="33">
        <f t="shared" si="36"/>
        <v>9474.7662752</v>
      </c>
      <c r="F80" s="33">
        <f aca="true" t="shared" si="37" ref="F80">F34</f>
        <v>0</v>
      </c>
    </row>
    <row r="81" spans="1:6" ht="15">
      <c r="A81" s="50" t="s">
        <v>5</v>
      </c>
      <c r="B81" s="33">
        <f aca="true" t="shared" si="38" ref="B81:E81">B41</f>
        <v>9017.013606339402</v>
      </c>
      <c r="C81" s="33">
        <f t="shared" si="38"/>
        <v>9023.75492206673</v>
      </c>
      <c r="D81" s="33">
        <f t="shared" si="38"/>
        <v>8690.421789771974</v>
      </c>
      <c r="E81" s="33">
        <f t="shared" si="38"/>
        <v>8691.572366891927</v>
      </c>
      <c r="F81" s="33">
        <f aca="true" t="shared" si="39" ref="F81">F41</f>
        <v>0</v>
      </c>
    </row>
    <row r="82" spans="1:6" ht="15">
      <c r="A82" s="51" t="s">
        <v>0</v>
      </c>
      <c r="B82" s="34">
        <f aca="true" t="shared" si="40" ref="B82:E82">SUM(B79:B81)</f>
        <v>27321.380055080313</v>
      </c>
      <c r="C82" s="34">
        <f t="shared" si="40"/>
        <v>27238.06783595764</v>
      </c>
      <c r="D82" s="34">
        <f t="shared" si="40"/>
        <v>29503.483128817425</v>
      </c>
      <c r="E82" s="34">
        <f t="shared" si="40"/>
        <v>27263.612842091927</v>
      </c>
      <c r="F82" s="34">
        <f aca="true" t="shared" si="41" ref="F82">SUM(F79:F81)</f>
        <v>0</v>
      </c>
    </row>
    <row r="85" spans="1:6" ht="15">
      <c r="A85" s="52" t="s">
        <v>49</v>
      </c>
      <c r="B85" s="53">
        <f aca="true" t="shared" si="42" ref="B85:F87">B79/B$82</f>
        <v>0.28412320257433576</v>
      </c>
      <c r="C85" s="53">
        <f t="shared" si="42"/>
        <v>0.28633384522613275</v>
      </c>
      <c r="D85" s="53">
        <f t="shared" si="42"/>
        <v>0.2915915677629629</v>
      </c>
      <c r="E85" s="53">
        <f t="shared" si="42"/>
        <v>0.33367823452784806</v>
      </c>
      <c r="F85" s="53" t="e">
        <f t="shared" si="42"/>
        <v>#DIV/0!</v>
      </c>
    </row>
    <row r="86" spans="1:6" ht="15">
      <c r="A86" s="52" t="s">
        <v>50</v>
      </c>
      <c r="B86" s="53">
        <f t="shared" si="42"/>
        <v>0.3858417264240908</v>
      </c>
      <c r="C86" s="53">
        <f t="shared" si="42"/>
        <v>0.38237411980234653</v>
      </c>
      <c r="D86" s="53">
        <f t="shared" si="42"/>
        <v>0.4138526419315992</v>
      </c>
      <c r="E86" s="53">
        <f t="shared" si="42"/>
        <v>0.34752423789454767</v>
      </c>
      <c r="F86" s="53" t="e">
        <f t="shared" si="42"/>
        <v>#DIV/0!</v>
      </c>
    </row>
    <row r="87" spans="1:6" ht="15">
      <c r="A87" s="52" t="s">
        <v>51</v>
      </c>
      <c r="B87" s="53">
        <f t="shared" si="42"/>
        <v>0.33003507100157337</v>
      </c>
      <c r="C87" s="53">
        <f t="shared" si="42"/>
        <v>0.3312920349715206</v>
      </c>
      <c r="D87" s="53">
        <f t="shared" si="42"/>
        <v>0.294555790305438</v>
      </c>
      <c r="E87" s="53">
        <f t="shared" si="42"/>
        <v>0.31879752757760427</v>
      </c>
      <c r="F87" s="53" t="e">
        <f t="shared" si="42"/>
        <v>#DIV/0!</v>
      </c>
    </row>
  </sheetData>
  <hyperlinks>
    <hyperlink ref="H49" r:id="rId1" display="https://www.icc.illinois.gov/industry-reports/environmental-disclosure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2021-03-25T22:24:33Z</dcterms:modified>
  <cp:category/>
  <cp:version/>
  <cp:contentType/>
  <cp:contentStatus/>
</cp:coreProperties>
</file>